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art\Newbanks Northeast Dropbox\Obadiah Dart\Dropbox\Newbanks\Obie's Files\NH Properties\WILKINS SCHOOL\Deliberative Presentation\"/>
    </mc:Choice>
  </mc:AlternateContent>
  <xr:revisionPtr revIDLastSave="0" documentId="13_ncr:1_{E46DAFE5-9DA4-4965-A9A0-0422B3F07F32}" xr6:coauthVersionLast="47" xr6:coauthVersionMax="47" xr10:uidLastSave="{00000000-0000-0000-0000-000000000000}"/>
  <bookViews>
    <workbookView xWindow="-27540" yWindow="5250" windowWidth="13590" windowHeight="14760" xr2:uid="{25DEF508-24F9-4EA5-ABA9-311EFE2BA099}"/>
  </bookViews>
  <sheets>
    <sheet name="Budget" sheetId="1" r:id="rId1"/>
    <sheet name="Alternates-Allowances" sheetId="2" r:id="rId2"/>
  </sheets>
  <definedNames>
    <definedName name="_xlnm.Print_Titles" localSheetId="0">Budget!$3:$4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1" l="1"/>
  <c r="G168" i="1"/>
  <c r="G157" i="1"/>
  <c r="G142" i="1"/>
  <c r="G130" i="1"/>
  <c r="G116" i="1"/>
  <c r="G98" i="1"/>
  <c r="G89" i="1"/>
  <c r="G80" i="1"/>
  <c r="G63" i="1"/>
  <c r="G43" i="1"/>
  <c r="G33" i="1"/>
  <c r="G17" i="1"/>
  <c r="E61" i="1"/>
  <c r="E12" i="1"/>
  <c r="G124" i="1" l="1"/>
  <c r="F11" i="2" l="1"/>
  <c r="F10" i="2"/>
  <c r="F7" i="2"/>
  <c r="F6" i="2"/>
  <c r="F5" i="2"/>
  <c r="F13" i="2" s="1"/>
  <c r="F4" i="2"/>
  <c r="F3" i="2"/>
  <c r="E119" i="1"/>
  <c r="C24" i="1"/>
  <c r="E181" i="1"/>
  <c r="E155" i="1"/>
  <c r="E96" i="1"/>
  <c r="E78" i="1"/>
  <c r="E149" i="1" l="1"/>
  <c r="E9" i="1"/>
  <c r="E110" i="1" l="1"/>
  <c r="E175" i="1"/>
  <c r="E77" i="1"/>
  <c r="E109" i="1"/>
  <c r="E108" i="1"/>
  <c r="E166" i="1"/>
  <c r="E10" i="1" l="1"/>
  <c r="E122" i="1"/>
  <c r="E140" i="1"/>
  <c r="E60" i="1"/>
  <c r="E176" i="1"/>
  <c r="E177" i="1"/>
  <c r="E178" i="1"/>
  <c r="E179" i="1"/>
  <c r="E180" i="1"/>
  <c r="E174" i="1"/>
  <c r="E51" i="1"/>
  <c r="E6" i="1"/>
  <c r="C127" i="1"/>
  <c r="E127" i="1" s="1"/>
  <c r="E130" i="1" s="1"/>
  <c r="C107" i="1"/>
  <c r="C94" i="1"/>
  <c r="C93" i="1"/>
  <c r="E93" i="1" s="1"/>
  <c r="E69" i="1"/>
  <c r="C68" i="1"/>
  <c r="E68" i="1" s="1"/>
  <c r="C67" i="1"/>
  <c r="E67" i="1" s="1"/>
  <c r="C54" i="1"/>
  <c r="C28" i="1"/>
  <c r="E28" i="1" s="1"/>
  <c r="C27" i="1"/>
  <c r="E27" i="1" s="1"/>
  <c r="C26" i="1"/>
  <c r="E26" i="1" s="1"/>
  <c r="C25" i="1"/>
  <c r="E25" i="1" s="1"/>
  <c r="E24" i="1"/>
  <c r="E138" i="1"/>
  <c r="E136" i="1"/>
  <c r="E58" i="1"/>
  <c r="E39" i="1"/>
  <c r="E38" i="1"/>
  <c r="E152" i="1"/>
  <c r="E150" i="1"/>
  <c r="E154" i="1"/>
  <c r="E153" i="1"/>
  <c r="E145" i="1"/>
  <c r="E146" i="1"/>
  <c r="E147" i="1"/>
  <c r="E151" i="1"/>
  <c r="E192" i="1"/>
  <c r="E40" i="1"/>
  <c r="E164" i="1"/>
  <c r="E95" i="1"/>
  <c r="E76" i="1"/>
  <c r="E75" i="1"/>
  <c r="E74" i="1"/>
  <c r="E73" i="1"/>
  <c r="E121" i="1"/>
  <c r="E132" i="1"/>
  <c r="E133" i="1"/>
  <c r="E134" i="1"/>
  <c r="E135" i="1"/>
  <c r="E137" i="1"/>
  <c r="E139" i="1"/>
  <c r="E160" i="1"/>
  <c r="E165" i="1"/>
  <c r="E41" i="1"/>
  <c r="E21" i="1"/>
  <c r="E19" i="1"/>
  <c r="E7" i="1"/>
  <c r="E8" i="1"/>
  <c r="E15" i="1"/>
  <c r="E20" i="1"/>
  <c r="E22" i="1"/>
  <c r="E23" i="1"/>
  <c r="E29" i="1"/>
  <c r="E31" i="1"/>
  <c r="E36" i="1"/>
  <c r="E37" i="1"/>
  <c r="E46" i="1"/>
  <c r="E47" i="1"/>
  <c r="E48" i="1"/>
  <c r="E49" i="1"/>
  <c r="E50" i="1"/>
  <c r="E52" i="1"/>
  <c r="E53" i="1"/>
  <c r="E55" i="1"/>
  <c r="E56" i="1"/>
  <c r="E57" i="1"/>
  <c r="E66" i="1"/>
  <c r="E70" i="1"/>
  <c r="E71" i="1"/>
  <c r="E72" i="1"/>
  <c r="E84" i="1"/>
  <c r="E85" i="1"/>
  <c r="E86" i="1"/>
  <c r="E87" i="1"/>
  <c r="E92" i="1"/>
  <c r="E100" i="1"/>
  <c r="E101" i="1"/>
  <c r="E102" i="1"/>
  <c r="E103" i="1"/>
  <c r="E104" i="1"/>
  <c r="E105" i="1"/>
  <c r="E106" i="1"/>
  <c r="E115" i="1"/>
  <c r="E116" i="1"/>
  <c r="E117" i="1"/>
  <c r="E118" i="1"/>
  <c r="E120" i="1"/>
  <c r="E142" i="1" l="1"/>
  <c r="E17" i="1"/>
  <c r="E89" i="1"/>
  <c r="E33" i="1"/>
  <c r="E63" i="1"/>
  <c r="E43" i="1"/>
  <c r="E80" i="1"/>
  <c r="E107" i="1"/>
  <c r="E112" i="1" s="1"/>
  <c r="E94" i="1"/>
  <c r="E98" i="1" s="1"/>
  <c r="C148" i="1"/>
  <c r="E54" i="1"/>
  <c r="G112" i="1" l="1"/>
  <c r="E171" i="1"/>
  <c r="E148" i="1"/>
  <c r="E157" i="1" s="1"/>
  <c r="C161" i="1"/>
  <c r="C162" i="1" l="1"/>
  <c r="E161" i="1"/>
  <c r="E162" i="1" l="1"/>
  <c r="E168" i="1" s="1"/>
  <c r="D191" i="1" s="1"/>
  <c r="E191" i="1" s="1"/>
  <c r="G191" i="1" s="1"/>
  <c r="C163" i="1"/>
  <c r="E163" i="1" s="1"/>
  <c r="D189" i="1" l="1"/>
  <c r="D183" i="1"/>
  <c r="E183" i="1" s="1"/>
  <c r="E184" i="1"/>
  <c r="E189" i="1" l="1"/>
  <c r="G189" i="1" s="1"/>
  <c r="E186" i="1"/>
  <c r="G186" i="1" l="1"/>
  <c r="E195" i="1"/>
  <c r="G195" i="1" l="1"/>
  <c r="E199" i="1"/>
</calcChain>
</file>

<file path=xl/sharedStrings.xml><?xml version="1.0" encoding="utf-8"?>
<sst xmlns="http://schemas.openxmlformats.org/spreadsheetml/2006/main" count="168" uniqueCount="152">
  <si>
    <t>Trade</t>
  </si>
  <si>
    <t>Sub Trade</t>
  </si>
  <si>
    <t>$</t>
  </si>
  <si>
    <t>Total</t>
  </si>
  <si>
    <t>Mass excavation</t>
  </si>
  <si>
    <t>Gravel Materials</t>
  </si>
  <si>
    <t>Paving</t>
  </si>
  <si>
    <t>Landscaping</t>
  </si>
  <si>
    <t>Labor/Materials</t>
  </si>
  <si>
    <t>Concrete</t>
  </si>
  <si>
    <t>Footings/foundation wall - 2' footing</t>
  </si>
  <si>
    <t>Footings/Foundation wall - 3' footing &amp; 10' wall</t>
  </si>
  <si>
    <t>Slab on grade</t>
  </si>
  <si>
    <t>Reinforcing steel</t>
  </si>
  <si>
    <t>Concrete Materials</t>
  </si>
  <si>
    <t>sf/lf/cy</t>
  </si>
  <si>
    <t>Footings 2'</t>
  </si>
  <si>
    <t>Footings 3'</t>
  </si>
  <si>
    <t>Foundation walls 4'</t>
  </si>
  <si>
    <t>Foundation walls 10'</t>
  </si>
  <si>
    <t>Pump Allowance</t>
  </si>
  <si>
    <t>Vapor Barrier and Install</t>
  </si>
  <si>
    <t>Rigid Insulation Under Slab</t>
  </si>
  <si>
    <t>Rigid Insulation Installation Under Slab</t>
  </si>
  <si>
    <t>Rigid Insulation Along Exterior foundation walls</t>
  </si>
  <si>
    <t xml:space="preserve">Masonry </t>
  </si>
  <si>
    <t>None</t>
  </si>
  <si>
    <t>Steel</t>
  </si>
  <si>
    <t>Rough Carpentry</t>
  </si>
  <si>
    <t>Wall Studs</t>
  </si>
  <si>
    <t>Advantech</t>
  </si>
  <si>
    <t>Exterior 5/8 Sheathing</t>
  </si>
  <si>
    <t>Misc. Hold down anchors etc</t>
  </si>
  <si>
    <t>Framing Labor</t>
  </si>
  <si>
    <t>Crane Rental</t>
  </si>
  <si>
    <t>Roofing/siding</t>
  </si>
  <si>
    <t>EPDM</t>
  </si>
  <si>
    <t>Siding Metal or Vinyl Labor</t>
  </si>
  <si>
    <t>Siding Metal or Vinyl Materials</t>
  </si>
  <si>
    <t xml:space="preserve">PVC or metal </t>
  </si>
  <si>
    <t>Windows/Doors &amp; Hardware</t>
  </si>
  <si>
    <t>Entrance Doors</t>
  </si>
  <si>
    <t>Classroom Doors</t>
  </si>
  <si>
    <t>Door Install</t>
  </si>
  <si>
    <t>Drywall</t>
  </si>
  <si>
    <t>Drywall Furnish &amp; Install</t>
  </si>
  <si>
    <t>Insulation under EPDM</t>
  </si>
  <si>
    <t>Cellulose Insulation Exteriors</t>
  </si>
  <si>
    <t>Cellulose Insulation Ceilings</t>
  </si>
  <si>
    <t>Exterior Wall Rigid Insulation</t>
  </si>
  <si>
    <t>Specialties</t>
  </si>
  <si>
    <t>Toilet Partitions</t>
  </si>
  <si>
    <t>Classroom Accessories</t>
  </si>
  <si>
    <t>Miscellaneous</t>
  </si>
  <si>
    <t>Appliances</t>
  </si>
  <si>
    <t>Finish Carpentry</t>
  </si>
  <si>
    <t>Window Sills</t>
  </si>
  <si>
    <t>Fire Protection</t>
  </si>
  <si>
    <t>Elevators</t>
  </si>
  <si>
    <t>Plumbing</t>
  </si>
  <si>
    <t>Finish Plumbing Fixtures</t>
  </si>
  <si>
    <t>Water Coolers &amp; Misc.</t>
  </si>
  <si>
    <t>Electric</t>
  </si>
  <si>
    <t>Labor</t>
  </si>
  <si>
    <t>Materials</t>
  </si>
  <si>
    <t>Fire Alarm</t>
  </si>
  <si>
    <t>Service Upgrades</t>
  </si>
  <si>
    <t>General Conditions</t>
  </si>
  <si>
    <t>Insurance</t>
  </si>
  <si>
    <t>Dumpsters</t>
  </si>
  <si>
    <t>Miscellaneous Materials</t>
  </si>
  <si>
    <t>Trailer Rental</t>
  </si>
  <si>
    <t>Contingency</t>
  </si>
  <si>
    <t>5% of Hard Costs</t>
  </si>
  <si>
    <t>Painting</t>
  </si>
  <si>
    <t>Rigid Insulation Installation Along Exterior foundation walls</t>
  </si>
  <si>
    <t>Preparation &amp; Supply of Wood trim</t>
  </si>
  <si>
    <t>Basketball Hoops w/Install</t>
  </si>
  <si>
    <t>Architect</t>
  </si>
  <si>
    <t>Design with Peer Review</t>
  </si>
  <si>
    <t xml:space="preserve">Floor Polishing </t>
  </si>
  <si>
    <t>Bathrooms (Men's and Women's Only</t>
  </si>
  <si>
    <t>Temporary Power</t>
  </si>
  <si>
    <t>Winter Conditions</t>
  </si>
  <si>
    <t>HVAC</t>
  </si>
  <si>
    <t xml:space="preserve">Boiler Purchase </t>
  </si>
  <si>
    <t>Boiler Accessories &amp; Piping/Manifolds</t>
  </si>
  <si>
    <t>Radiant Piping (wirsbro vs vevor)</t>
  </si>
  <si>
    <t>Heat Pumps Material (mitsubishi vs Pioneer)</t>
  </si>
  <si>
    <t>Heat Recovery Ventilators</t>
  </si>
  <si>
    <t>Boiler Install</t>
  </si>
  <si>
    <t>Heat Pump Install</t>
  </si>
  <si>
    <t>Radiant Piping Install</t>
  </si>
  <si>
    <t>Tyvek vs Roofing Felt</t>
  </si>
  <si>
    <t>Angles, Extra Lag screws, Simpson Truss clips etc</t>
  </si>
  <si>
    <t>Damproofing</t>
  </si>
  <si>
    <t>Scissor Lift Rental thru Project</t>
  </si>
  <si>
    <t>Audio/Visual &amp; Security</t>
  </si>
  <si>
    <t>Underground Coordination</t>
  </si>
  <si>
    <t>Tie-In to Existing Building Allowance</t>
  </si>
  <si>
    <t>Vapor Barrier along exterior foundation wall and drainage piping</t>
  </si>
  <si>
    <t>Roof Trusses</t>
  </si>
  <si>
    <t>Window/Door Headers</t>
  </si>
  <si>
    <t>Trim Install Allowance</t>
  </si>
  <si>
    <t>Stars Room</t>
  </si>
  <si>
    <t>Upgrade to Steel from Wood</t>
  </si>
  <si>
    <t>Sinks in each New Classroom</t>
  </si>
  <si>
    <t>Cubby/coat hooks, etc in Classrooms (FF&amp;E) with Wood</t>
  </si>
  <si>
    <t>Assume Street Pressure is satisfactory - dry systems in attics</t>
  </si>
  <si>
    <t>Ductwork Allowance &amp; Install</t>
  </si>
  <si>
    <t>Windows (install with framer)</t>
  </si>
  <si>
    <t>Cut into northern slope of Upper Wilkins for road access &amp; rebuild stair</t>
  </si>
  <si>
    <t>Run hydrant loop to rear of property</t>
  </si>
  <si>
    <t>Provide fire/booster pump if needed</t>
  </si>
  <si>
    <t>800 amp 3 Phase Switchgear</t>
  </si>
  <si>
    <t>Modular Turf</t>
  </si>
  <si>
    <t>Telescopic Hussey Bleachers</t>
  </si>
  <si>
    <t>Spray Foam Insulation Misc</t>
  </si>
  <si>
    <t>Allowances:</t>
  </si>
  <si>
    <t>Profit Baseline Trades:</t>
  </si>
  <si>
    <t>Shingles with Full Ice and Water</t>
  </si>
  <si>
    <t>2 Scoreboards</t>
  </si>
  <si>
    <t>Gym Floor Coating</t>
  </si>
  <si>
    <t>Septic/Misc &amp; Materials</t>
  </si>
  <si>
    <t>Misc Add'l Materials/Labor</t>
  </si>
  <si>
    <t>Seppala Additional $</t>
  </si>
  <si>
    <t>Performance Bond</t>
  </si>
  <si>
    <t>Supervision, Cleaning , General Requirements etc</t>
  </si>
  <si>
    <t>SUBCONTRACTOR HARD COST TOTAL - THIS IS $ TO BE USED FOR ARCHITECTURAL FEE CALCULATION:</t>
  </si>
  <si>
    <t>Alternates</t>
  </si>
  <si>
    <t>Sitework Allowance</t>
  </si>
  <si>
    <t>Profit Alternates</t>
  </si>
  <si>
    <t>Loop Road per SAU Request</t>
  </si>
  <si>
    <t>Allowance for revised framing moving gym per SAU Request</t>
  </si>
  <si>
    <t>Site Subtotal:</t>
  </si>
  <si>
    <t>Concrete Subtotal:</t>
  </si>
  <si>
    <t>Rigid Insulation:</t>
  </si>
  <si>
    <t>Framing/Steel:</t>
  </si>
  <si>
    <t>Roofing/Siding/Insulation:</t>
  </si>
  <si>
    <t>Window/Doors:</t>
  </si>
  <si>
    <t>Sheetrock, Painting/Trim:</t>
  </si>
  <si>
    <t>Specialties:</t>
  </si>
  <si>
    <t>Finish Carpentry:</t>
  </si>
  <si>
    <t>Fire Protection:</t>
  </si>
  <si>
    <t>Plumbing:</t>
  </si>
  <si>
    <t>HVAC:</t>
  </si>
  <si>
    <t>Electric:</t>
  </si>
  <si>
    <t>Total sf:</t>
  </si>
  <si>
    <t>$/sf:</t>
  </si>
  <si>
    <t>WILKINS SCHOOL ADDITION - OPTION #3</t>
  </si>
  <si>
    <t>$/SF</t>
  </si>
  <si>
    <t>GCs &amp; Fee: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</si>
</sst>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8" fontId="1" fillId="2" borderId="0" xfId="0" applyNumberFormat="1" applyFont="1" applyFill="1" applyAlignment="1">
      <alignment horizontal="center"/>
    </xf>
    <xf numFmtId="8" fontId="0" fillId="2" borderId="0" xfId="0" applyNumberFormat="1" applyFill="1" applyAlignment="1">
      <alignment horizontal="center"/>
    </xf>
    <xf numFmtId="8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8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F175-38A5-4E2C-8812-1BDA55DFB0CE}">
  <dimension ref="A1:I199"/>
  <sheetViews>
    <sheetView tabSelected="1" topLeftCell="A166" workbookViewId="0">
      <selection activeCell="C178" sqref="C178"/>
    </sheetView>
  </sheetViews>
  <sheetFormatPr defaultRowHeight="14.25" x14ac:dyDescent="0.45"/>
  <cols>
    <col min="1" max="1" width="18.1328125" customWidth="1"/>
    <col min="2" max="2" width="27.265625" style="1" customWidth="1"/>
    <col min="3" max="3" width="12.59765625" style="2" customWidth="1"/>
    <col min="4" max="4" width="15.265625" style="2" customWidth="1"/>
    <col min="5" max="5" width="14.73046875" style="3" customWidth="1"/>
    <col min="6" max="6" width="1.86328125" customWidth="1"/>
    <col min="7" max="7" width="8.9296875" style="12" customWidth="1"/>
    <col min="9" max="9" width="9.3984375" bestFit="1" customWidth="1"/>
  </cols>
  <sheetData>
    <row r="1" spans="1:7" x14ac:dyDescent="0.45">
      <c r="A1" s="13" t="s">
        <v>149</v>
      </c>
      <c r="B1" s="13"/>
      <c r="C1" s="13"/>
      <c r="D1" s="13"/>
      <c r="E1" s="13"/>
      <c r="F1" s="13"/>
    </row>
    <row r="2" spans="1:7" x14ac:dyDescent="0.45">
      <c r="B2"/>
      <c r="C2"/>
      <c r="D2"/>
      <c r="E2"/>
    </row>
    <row r="3" spans="1:7" x14ac:dyDescent="0.45">
      <c r="C3" s="13"/>
      <c r="D3" s="13"/>
      <c r="E3" s="13"/>
    </row>
    <row r="4" spans="1:7" x14ac:dyDescent="0.45">
      <c r="A4" t="s">
        <v>0</v>
      </c>
      <c r="B4" s="1" t="s">
        <v>1</v>
      </c>
      <c r="C4" s="2" t="s">
        <v>15</v>
      </c>
      <c r="D4" s="2" t="s">
        <v>2</v>
      </c>
      <c r="E4" s="3" t="s">
        <v>3</v>
      </c>
      <c r="G4" s="12" t="s">
        <v>150</v>
      </c>
    </row>
    <row r="6" spans="1:7" x14ac:dyDescent="0.45">
      <c r="A6" t="s">
        <v>130</v>
      </c>
      <c r="B6" s="1" t="s">
        <v>4</v>
      </c>
      <c r="C6" s="2">
        <v>1</v>
      </c>
      <c r="D6" s="9">
        <v>350000</v>
      </c>
      <c r="E6" s="3">
        <f t="shared" ref="E6" si="0">C6*D6</f>
        <v>350000</v>
      </c>
      <c r="G6" s="8"/>
    </row>
    <row r="7" spans="1:7" x14ac:dyDescent="0.45">
      <c r="B7" s="1" t="s">
        <v>5</v>
      </c>
      <c r="C7" s="2">
        <v>1</v>
      </c>
      <c r="D7" s="2">
        <v>75000</v>
      </c>
      <c r="E7" s="3">
        <f t="shared" ref="E7:E121" si="1">C7*D7</f>
        <v>75000</v>
      </c>
      <c r="G7" s="8"/>
    </row>
    <row r="8" spans="1:7" x14ac:dyDescent="0.45">
      <c r="B8" s="1" t="s">
        <v>6</v>
      </c>
      <c r="C8" s="2">
        <v>1</v>
      </c>
      <c r="D8" s="2">
        <v>75000</v>
      </c>
      <c r="E8" s="3">
        <f t="shared" si="1"/>
        <v>75000</v>
      </c>
      <c r="G8" s="8"/>
    </row>
    <row r="9" spans="1:7" x14ac:dyDescent="0.45">
      <c r="B9" s="4" t="s">
        <v>123</v>
      </c>
      <c r="C9" s="2">
        <v>1</v>
      </c>
      <c r="D9" s="2">
        <v>75000</v>
      </c>
      <c r="E9" s="3">
        <f>C9*D9</f>
        <v>75000</v>
      </c>
      <c r="G9" s="8"/>
    </row>
    <row r="10" spans="1:7" ht="42.75" x14ac:dyDescent="0.45">
      <c r="B10" s="4" t="s">
        <v>111</v>
      </c>
      <c r="C10" s="2">
        <v>1</v>
      </c>
      <c r="D10" s="2">
        <v>50000</v>
      </c>
      <c r="E10" s="3">
        <f>C10*D10</f>
        <v>50000</v>
      </c>
      <c r="G10" s="8"/>
    </row>
    <row r="11" spans="1:7" ht="28.5" x14ac:dyDescent="0.45">
      <c r="B11" s="4" t="s">
        <v>112</v>
      </c>
      <c r="C11" s="2">
        <v>1</v>
      </c>
      <c r="D11" s="2">
        <v>100000</v>
      </c>
      <c r="E11" s="3">
        <v>100000</v>
      </c>
      <c r="G11" s="8"/>
    </row>
    <row r="12" spans="1:7" x14ac:dyDescent="0.45">
      <c r="B12" s="1" t="s">
        <v>132</v>
      </c>
      <c r="C12" s="2">
        <v>1</v>
      </c>
      <c r="D12" s="2">
        <v>1200000</v>
      </c>
      <c r="E12" s="3">
        <f>D12</f>
        <v>1200000</v>
      </c>
      <c r="G12" s="8"/>
    </row>
    <row r="13" spans="1:7" x14ac:dyDescent="0.45">
      <c r="G13" s="8"/>
    </row>
    <row r="14" spans="1:7" x14ac:dyDescent="0.45">
      <c r="G14" s="8"/>
    </row>
    <row r="15" spans="1:7" x14ac:dyDescent="0.45">
      <c r="A15" t="s">
        <v>7</v>
      </c>
      <c r="B15" s="1" t="s">
        <v>8</v>
      </c>
      <c r="C15" s="2">
        <v>1</v>
      </c>
      <c r="D15" s="2">
        <v>75000</v>
      </c>
      <c r="E15" s="3">
        <f t="shared" si="1"/>
        <v>75000</v>
      </c>
      <c r="G15" s="8"/>
    </row>
    <row r="16" spans="1:7" x14ac:dyDescent="0.45">
      <c r="G16" s="8"/>
    </row>
    <row r="17" spans="1:7" x14ac:dyDescent="0.45">
      <c r="D17" s="15" t="s">
        <v>134</v>
      </c>
      <c r="E17" s="8">
        <f>SUM(E6:E16)</f>
        <v>2000000</v>
      </c>
      <c r="G17" s="8">
        <f>E17/$E$197</f>
        <v>59.523809523809526</v>
      </c>
    </row>
    <row r="18" spans="1:7" x14ac:dyDescent="0.45">
      <c r="G18" s="8"/>
    </row>
    <row r="19" spans="1:7" ht="28.5" x14ac:dyDescent="0.45">
      <c r="A19" t="s">
        <v>9</v>
      </c>
      <c r="B19" s="1" t="s">
        <v>10</v>
      </c>
      <c r="C19" s="2">
        <v>740</v>
      </c>
      <c r="D19" s="2">
        <v>35</v>
      </c>
      <c r="E19" s="3">
        <f t="shared" si="1"/>
        <v>25900</v>
      </c>
      <c r="G19" s="8"/>
    </row>
    <row r="20" spans="1:7" ht="28.5" x14ac:dyDescent="0.45">
      <c r="B20" s="1" t="s">
        <v>11</v>
      </c>
      <c r="C20" s="2">
        <v>480</v>
      </c>
      <c r="D20" s="2">
        <v>100</v>
      </c>
      <c r="E20" s="3">
        <f t="shared" si="1"/>
        <v>48000</v>
      </c>
      <c r="G20" s="8"/>
    </row>
    <row r="21" spans="1:7" x14ac:dyDescent="0.45">
      <c r="B21" s="1" t="s">
        <v>12</v>
      </c>
      <c r="C21" s="2">
        <v>33600</v>
      </c>
      <c r="D21" s="2">
        <v>1.75</v>
      </c>
      <c r="E21" s="3">
        <f t="shared" si="1"/>
        <v>58800</v>
      </c>
      <c r="G21" s="8"/>
    </row>
    <row r="22" spans="1:7" x14ac:dyDescent="0.45">
      <c r="B22" s="1" t="s">
        <v>13</v>
      </c>
      <c r="C22" s="2">
        <v>1</v>
      </c>
      <c r="D22" s="2">
        <v>100000</v>
      </c>
      <c r="E22" s="3">
        <f t="shared" si="1"/>
        <v>100000</v>
      </c>
      <c r="G22" s="8"/>
    </row>
    <row r="23" spans="1:7" x14ac:dyDescent="0.45">
      <c r="B23" s="4" t="s">
        <v>14</v>
      </c>
      <c r="E23" s="3">
        <f t="shared" si="1"/>
        <v>0</v>
      </c>
      <c r="G23" s="8"/>
    </row>
    <row r="24" spans="1:7" x14ac:dyDescent="0.45">
      <c r="B24" s="1" t="s">
        <v>12</v>
      </c>
      <c r="C24" s="2">
        <f>(33600*5/12)/27</f>
        <v>518.51851851851848</v>
      </c>
      <c r="D24" s="2">
        <v>200</v>
      </c>
      <c r="E24" s="3">
        <f t="shared" si="1"/>
        <v>103703.70370370369</v>
      </c>
      <c r="G24" s="8"/>
    </row>
    <row r="25" spans="1:7" x14ac:dyDescent="0.45">
      <c r="B25" s="1" t="s">
        <v>16</v>
      </c>
      <c r="C25" s="2">
        <f>2*C19/27</f>
        <v>54.814814814814817</v>
      </c>
      <c r="D25" s="2">
        <v>200</v>
      </c>
      <c r="E25" s="3">
        <f>C25*D25</f>
        <v>10962.962962962964</v>
      </c>
      <c r="G25" s="8"/>
    </row>
    <row r="26" spans="1:7" x14ac:dyDescent="0.45">
      <c r="B26" s="1" t="s">
        <v>17</v>
      </c>
      <c r="C26" s="2">
        <f>3*C20/27</f>
        <v>53.333333333333336</v>
      </c>
      <c r="D26" s="2">
        <v>200</v>
      </c>
      <c r="E26" s="3">
        <f t="shared" si="1"/>
        <v>10666.666666666668</v>
      </c>
      <c r="G26" s="8"/>
    </row>
    <row r="27" spans="1:7" x14ac:dyDescent="0.45">
      <c r="B27" s="1" t="s">
        <v>18</v>
      </c>
      <c r="C27" s="2">
        <f>(C19*10/12*4)/27</f>
        <v>91.358024691358025</v>
      </c>
      <c r="D27" s="2">
        <v>200</v>
      </c>
      <c r="E27" s="3">
        <f t="shared" si="1"/>
        <v>18271.604938271605</v>
      </c>
      <c r="G27" s="8"/>
    </row>
    <row r="28" spans="1:7" x14ac:dyDescent="0.45">
      <c r="B28" s="1" t="s">
        <v>19</v>
      </c>
      <c r="C28" s="2">
        <f>C20*14/12*10/27</f>
        <v>207.40740740740742</v>
      </c>
      <c r="D28" s="2">
        <v>200</v>
      </c>
      <c r="E28" s="3">
        <f t="shared" si="1"/>
        <v>41481.481481481482</v>
      </c>
      <c r="G28" s="8"/>
    </row>
    <row r="29" spans="1:7" x14ac:dyDescent="0.45">
      <c r="B29" s="1" t="s">
        <v>20</v>
      </c>
      <c r="C29" s="2">
        <v>1</v>
      </c>
      <c r="D29" s="2">
        <v>15000</v>
      </c>
      <c r="E29" s="3">
        <f t="shared" si="1"/>
        <v>15000</v>
      </c>
      <c r="G29" s="8"/>
    </row>
    <row r="30" spans="1:7" x14ac:dyDescent="0.45">
      <c r="B30" s="10" t="s">
        <v>125</v>
      </c>
      <c r="C30" s="9">
        <v>1</v>
      </c>
      <c r="D30" s="9">
        <v>97000</v>
      </c>
      <c r="E30" s="7">
        <v>84000</v>
      </c>
      <c r="G30" s="8"/>
    </row>
    <row r="31" spans="1:7" ht="16.5" customHeight="1" x14ac:dyDescent="0.45">
      <c r="B31" s="1" t="s">
        <v>21</v>
      </c>
      <c r="C31" s="2">
        <v>33600</v>
      </c>
      <c r="D31" s="2">
        <v>1</v>
      </c>
      <c r="E31" s="3">
        <f t="shared" si="1"/>
        <v>33600</v>
      </c>
      <c r="G31" s="8"/>
    </row>
    <row r="32" spans="1:7" ht="16.5" customHeight="1" x14ac:dyDescent="0.45">
      <c r="G32" s="8"/>
    </row>
    <row r="33" spans="1:7" ht="16.5" customHeight="1" x14ac:dyDescent="0.45">
      <c r="D33" s="15" t="s">
        <v>135</v>
      </c>
      <c r="E33" s="8">
        <f>SUM(E19:E32)</f>
        <v>550386.41975308652</v>
      </c>
      <c r="G33" s="8">
        <f>E33/$E$197</f>
        <v>16.3805482069371</v>
      </c>
    </row>
    <row r="34" spans="1:7" ht="16.5" customHeight="1" x14ac:dyDescent="0.45">
      <c r="G34" s="8"/>
    </row>
    <row r="35" spans="1:7" ht="16.5" customHeight="1" x14ac:dyDescent="0.45">
      <c r="G35" s="8"/>
    </row>
    <row r="36" spans="1:7" ht="16.5" customHeight="1" x14ac:dyDescent="0.45">
      <c r="B36" s="1" t="s">
        <v>22</v>
      </c>
      <c r="C36" s="2">
        <v>33600</v>
      </c>
      <c r="D36" s="2">
        <v>3</v>
      </c>
      <c r="E36" s="3">
        <f t="shared" si="1"/>
        <v>100800</v>
      </c>
      <c r="G36" s="8"/>
    </row>
    <row r="37" spans="1:7" ht="36" customHeight="1" x14ac:dyDescent="0.45">
      <c r="B37" s="1" t="s">
        <v>23</v>
      </c>
      <c r="C37" s="2">
        <v>33600</v>
      </c>
      <c r="D37" s="2">
        <v>1</v>
      </c>
      <c r="E37" s="3">
        <f t="shared" si="1"/>
        <v>33600</v>
      </c>
      <c r="G37" s="8"/>
    </row>
    <row r="38" spans="1:7" ht="21" customHeight="1" x14ac:dyDescent="0.45">
      <c r="B38" s="1" t="s">
        <v>95</v>
      </c>
      <c r="C38" s="2">
        <v>1</v>
      </c>
      <c r="D38" s="2">
        <v>15000</v>
      </c>
      <c r="E38" s="3">
        <f t="shared" si="1"/>
        <v>15000</v>
      </c>
      <c r="G38" s="8"/>
    </row>
    <row r="39" spans="1:7" ht="42.75" x14ac:dyDescent="0.45">
      <c r="B39" s="1" t="s">
        <v>100</v>
      </c>
      <c r="C39" s="2">
        <v>1</v>
      </c>
      <c r="D39" s="2">
        <v>20000</v>
      </c>
      <c r="E39" s="3">
        <f t="shared" si="1"/>
        <v>20000</v>
      </c>
      <c r="G39" s="8"/>
    </row>
    <row r="40" spans="1:7" ht="28.5" x14ac:dyDescent="0.45">
      <c r="B40" s="1" t="s">
        <v>75</v>
      </c>
      <c r="C40" s="2">
        <v>2960</v>
      </c>
      <c r="D40" s="2">
        <v>4</v>
      </c>
      <c r="E40" s="3">
        <f t="shared" si="1"/>
        <v>11840</v>
      </c>
      <c r="G40" s="8"/>
    </row>
    <row r="41" spans="1:7" ht="28.5" x14ac:dyDescent="0.45">
      <c r="B41" s="1" t="s">
        <v>24</v>
      </c>
      <c r="C41" s="2">
        <v>2960</v>
      </c>
      <c r="D41" s="2">
        <v>4</v>
      </c>
      <c r="E41" s="3">
        <f t="shared" si="1"/>
        <v>11840</v>
      </c>
      <c r="G41" s="8"/>
    </row>
    <row r="42" spans="1:7" x14ac:dyDescent="0.45">
      <c r="G42" s="8"/>
    </row>
    <row r="43" spans="1:7" x14ac:dyDescent="0.45">
      <c r="D43" s="15" t="s">
        <v>136</v>
      </c>
      <c r="E43" s="3">
        <f>SUM(E36:E42)</f>
        <v>193080</v>
      </c>
      <c r="G43" s="8">
        <f>E43/$E$197</f>
        <v>5.746428571428571</v>
      </c>
    </row>
    <row r="44" spans="1:7" x14ac:dyDescent="0.45">
      <c r="G44" s="8"/>
    </row>
    <row r="45" spans="1:7" x14ac:dyDescent="0.45">
      <c r="G45" s="8"/>
    </row>
    <row r="46" spans="1:7" x14ac:dyDescent="0.45">
      <c r="A46" t="s">
        <v>25</v>
      </c>
      <c r="B46" s="1" t="s">
        <v>26</v>
      </c>
      <c r="E46" s="3">
        <f t="shared" si="1"/>
        <v>0</v>
      </c>
      <c r="G46" s="8"/>
    </row>
    <row r="47" spans="1:7" x14ac:dyDescent="0.45">
      <c r="E47" s="3">
        <f t="shared" si="1"/>
        <v>0</v>
      </c>
      <c r="G47" s="8"/>
    </row>
    <row r="48" spans="1:7" ht="28.5" x14ac:dyDescent="0.45">
      <c r="A48" t="s">
        <v>27</v>
      </c>
      <c r="B48" s="1" t="s">
        <v>94</v>
      </c>
      <c r="C48" s="2">
        <v>1</v>
      </c>
      <c r="D48" s="2">
        <v>20000</v>
      </c>
      <c r="E48" s="3">
        <f t="shared" si="1"/>
        <v>20000</v>
      </c>
      <c r="G48" s="8"/>
    </row>
    <row r="49" spans="1:7" x14ac:dyDescent="0.45">
      <c r="E49" s="3">
        <f t="shared" si="1"/>
        <v>0</v>
      </c>
      <c r="G49" s="8"/>
    </row>
    <row r="50" spans="1:7" x14ac:dyDescent="0.45">
      <c r="A50" t="s">
        <v>28</v>
      </c>
      <c r="B50" s="1" t="s">
        <v>101</v>
      </c>
      <c r="C50" s="2">
        <v>1</v>
      </c>
      <c r="D50" s="2">
        <v>165000</v>
      </c>
      <c r="E50" s="3">
        <f t="shared" si="1"/>
        <v>165000</v>
      </c>
      <c r="G50" s="8"/>
    </row>
    <row r="51" spans="1:7" x14ac:dyDescent="0.45">
      <c r="B51" s="1" t="s">
        <v>29</v>
      </c>
      <c r="C51" s="2">
        <v>1</v>
      </c>
      <c r="D51" s="2">
        <v>65000</v>
      </c>
      <c r="E51" s="3">
        <f t="shared" si="1"/>
        <v>65000</v>
      </c>
      <c r="G51" s="8"/>
    </row>
    <row r="52" spans="1:7" x14ac:dyDescent="0.45">
      <c r="B52" s="1" t="s">
        <v>102</v>
      </c>
      <c r="C52" s="2">
        <v>1</v>
      </c>
      <c r="D52" s="2">
        <v>20000</v>
      </c>
      <c r="E52" s="3">
        <f t="shared" si="1"/>
        <v>20000</v>
      </c>
      <c r="G52" s="8"/>
    </row>
    <row r="53" spans="1:7" x14ac:dyDescent="0.45">
      <c r="B53" s="1" t="s">
        <v>30</v>
      </c>
      <c r="C53" s="2">
        <v>800</v>
      </c>
      <c r="D53" s="2">
        <v>60</v>
      </c>
      <c r="E53" s="3">
        <f t="shared" si="1"/>
        <v>48000</v>
      </c>
      <c r="G53" s="8"/>
    </row>
    <row r="54" spans="1:7" x14ac:dyDescent="0.45">
      <c r="B54" s="1" t="s">
        <v>31</v>
      </c>
      <c r="C54" s="2">
        <f>((C19+C20)*15)/32</f>
        <v>571.875</v>
      </c>
      <c r="D54" s="2">
        <v>22</v>
      </c>
      <c r="E54" s="3">
        <f t="shared" si="1"/>
        <v>12581.25</v>
      </c>
      <c r="G54" s="8"/>
    </row>
    <row r="55" spans="1:7" x14ac:dyDescent="0.45">
      <c r="B55" s="1" t="s">
        <v>32</v>
      </c>
      <c r="C55" s="2">
        <v>1</v>
      </c>
      <c r="D55" s="2">
        <v>3500</v>
      </c>
      <c r="E55" s="3">
        <f t="shared" si="1"/>
        <v>3500</v>
      </c>
      <c r="G55" s="8"/>
    </row>
    <row r="56" spans="1:7" x14ac:dyDescent="0.45">
      <c r="B56" s="1" t="s">
        <v>33</v>
      </c>
      <c r="C56" s="2">
        <v>33600</v>
      </c>
      <c r="D56" s="2">
        <v>20</v>
      </c>
      <c r="E56" s="3">
        <f t="shared" si="1"/>
        <v>672000</v>
      </c>
      <c r="G56" s="8"/>
    </row>
    <row r="57" spans="1:7" x14ac:dyDescent="0.45">
      <c r="B57" s="1" t="s">
        <v>34</v>
      </c>
      <c r="C57" s="2">
        <v>1</v>
      </c>
      <c r="D57" s="2">
        <v>15000</v>
      </c>
      <c r="E57" s="3">
        <f t="shared" si="1"/>
        <v>15000</v>
      </c>
      <c r="G57" s="8"/>
    </row>
    <row r="58" spans="1:7" x14ac:dyDescent="0.45">
      <c r="B58" s="1" t="s">
        <v>96</v>
      </c>
      <c r="C58" s="2">
        <v>1</v>
      </c>
      <c r="D58" s="2">
        <v>35000</v>
      </c>
      <c r="E58" s="3">
        <f t="shared" si="1"/>
        <v>35000</v>
      </c>
      <c r="G58" s="8"/>
    </row>
    <row r="59" spans="1:7" x14ac:dyDescent="0.45">
      <c r="B59" s="10" t="s">
        <v>125</v>
      </c>
      <c r="C59" s="9">
        <v>1</v>
      </c>
      <c r="D59" s="9">
        <v>150000</v>
      </c>
      <c r="E59" s="7">
        <v>144000</v>
      </c>
      <c r="G59" s="8"/>
    </row>
    <row r="60" spans="1:7" x14ac:dyDescent="0.45">
      <c r="B60" s="4" t="s">
        <v>105</v>
      </c>
      <c r="C60" s="2">
        <v>1</v>
      </c>
      <c r="D60" s="2">
        <v>600000</v>
      </c>
      <c r="E60" s="3">
        <f>C60*D60</f>
        <v>600000</v>
      </c>
      <c r="G60" s="8"/>
    </row>
    <row r="61" spans="1:7" ht="28.5" x14ac:dyDescent="0.45">
      <c r="B61" s="10" t="s">
        <v>133</v>
      </c>
      <c r="C61" s="9">
        <v>1</v>
      </c>
      <c r="D61" s="9">
        <v>800000</v>
      </c>
      <c r="E61" s="7">
        <f>C61*D61</f>
        <v>800000</v>
      </c>
      <c r="G61" s="8"/>
    </row>
    <row r="62" spans="1:7" x14ac:dyDescent="0.45">
      <c r="B62" s="16"/>
      <c r="C62" s="17"/>
      <c r="D62" s="17"/>
      <c r="E62" s="18"/>
      <c r="G62" s="8"/>
    </row>
    <row r="63" spans="1:7" x14ac:dyDescent="0.45">
      <c r="B63" s="16"/>
      <c r="C63" s="17"/>
      <c r="D63" s="19" t="s">
        <v>137</v>
      </c>
      <c r="E63" s="18">
        <f>SUM(E48:E62)</f>
        <v>2600081.25</v>
      </c>
      <c r="G63" s="8">
        <f>E63/$E$197</f>
        <v>77.383370535714292</v>
      </c>
    </row>
    <row r="64" spans="1:7" x14ac:dyDescent="0.45">
      <c r="B64" s="16"/>
      <c r="C64" s="17"/>
      <c r="D64" s="17"/>
      <c r="E64" s="18"/>
      <c r="G64" s="8"/>
    </row>
    <row r="65" spans="1:7" x14ac:dyDescent="0.45">
      <c r="G65" s="8"/>
    </row>
    <row r="66" spans="1:7" x14ac:dyDescent="0.45">
      <c r="A66" t="s">
        <v>35</v>
      </c>
      <c r="E66" s="3">
        <f t="shared" si="1"/>
        <v>0</v>
      </c>
      <c r="G66" s="8"/>
    </row>
    <row r="67" spans="1:7" x14ac:dyDescent="0.45">
      <c r="B67" s="1" t="s">
        <v>36</v>
      </c>
      <c r="C67" s="2">
        <f>(45*160*2)+50*160</f>
        <v>22400</v>
      </c>
      <c r="D67" s="2">
        <v>9</v>
      </c>
      <c r="E67" s="3">
        <f t="shared" si="1"/>
        <v>201600</v>
      </c>
      <c r="G67" s="8"/>
    </row>
    <row r="68" spans="1:7" x14ac:dyDescent="0.45">
      <c r="B68" s="1" t="s">
        <v>120</v>
      </c>
      <c r="C68" s="2">
        <f>70*160*1.25</f>
        <v>14000</v>
      </c>
      <c r="D68" s="2">
        <v>5</v>
      </c>
      <c r="E68" s="3">
        <f t="shared" si="1"/>
        <v>70000</v>
      </c>
      <c r="G68" s="8"/>
    </row>
    <row r="69" spans="1:7" x14ac:dyDescent="0.45">
      <c r="B69" s="1" t="s">
        <v>37</v>
      </c>
      <c r="C69" s="2">
        <v>15300</v>
      </c>
      <c r="D69" s="2">
        <v>5</v>
      </c>
      <c r="E69" s="3">
        <f t="shared" si="1"/>
        <v>76500</v>
      </c>
      <c r="G69" s="8"/>
    </row>
    <row r="70" spans="1:7" x14ac:dyDescent="0.45">
      <c r="B70" s="1" t="s">
        <v>38</v>
      </c>
      <c r="C70" s="2">
        <v>15300</v>
      </c>
      <c r="D70" s="2">
        <v>5</v>
      </c>
      <c r="E70" s="3">
        <f t="shared" si="1"/>
        <v>76500</v>
      </c>
      <c r="G70" s="8"/>
    </row>
    <row r="71" spans="1:7" x14ac:dyDescent="0.45">
      <c r="B71" s="1" t="s">
        <v>39</v>
      </c>
      <c r="C71" s="2">
        <v>1</v>
      </c>
      <c r="D71" s="2">
        <v>40000</v>
      </c>
      <c r="E71" s="3">
        <f t="shared" si="1"/>
        <v>40000</v>
      </c>
      <c r="G71" s="8"/>
    </row>
    <row r="72" spans="1:7" x14ac:dyDescent="0.45">
      <c r="B72" s="1" t="s">
        <v>93</v>
      </c>
      <c r="C72" s="2">
        <v>15300</v>
      </c>
      <c r="D72" s="2">
        <v>0.25</v>
      </c>
      <c r="E72" s="3">
        <f t="shared" si="1"/>
        <v>3825</v>
      </c>
      <c r="G72" s="8"/>
    </row>
    <row r="73" spans="1:7" x14ac:dyDescent="0.45">
      <c r="B73" s="1" t="s">
        <v>46</v>
      </c>
      <c r="C73" s="2">
        <v>22400</v>
      </c>
      <c r="D73" s="2">
        <v>4</v>
      </c>
      <c r="E73" s="3">
        <f t="shared" si="1"/>
        <v>89600</v>
      </c>
      <c r="G73" s="8"/>
    </row>
    <row r="74" spans="1:7" x14ac:dyDescent="0.45">
      <c r="B74" s="1" t="s">
        <v>47</v>
      </c>
      <c r="C74" s="2">
        <v>15300</v>
      </c>
      <c r="D74" s="2">
        <v>5</v>
      </c>
      <c r="E74" s="3">
        <f t="shared" si="1"/>
        <v>76500</v>
      </c>
      <c r="G74" s="8"/>
    </row>
    <row r="75" spans="1:7" x14ac:dyDescent="0.45">
      <c r="B75" s="1" t="s">
        <v>48</v>
      </c>
      <c r="C75" s="2">
        <v>33600</v>
      </c>
      <c r="D75" s="2">
        <v>5</v>
      </c>
      <c r="E75" s="3">
        <f t="shared" si="1"/>
        <v>168000</v>
      </c>
      <c r="G75" s="8"/>
    </row>
    <row r="76" spans="1:7" x14ac:dyDescent="0.45">
      <c r="B76" s="1" t="s">
        <v>49</v>
      </c>
      <c r="C76" s="2">
        <v>15300</v>
      </c>
      <c r="D76" s="2">
        <v>4</v>
      </c>
      <c r="E76" s="3">
        <f t="shared" si="1"/>
        <v>61200</v>
      </c>
      <c r="G76" s="8"/>
    </row>
    <row r="77" spans="1:7" x14ac:dyDescent="0.45">
      <c r="B77" s="1" t="s">
        <v>117</v>
      </c>
      <c r="C77" s="2">
        <v>1</v>
      </c>
      <c r="D77" s="2">
        <v>150000</v>
      </c>
      <c r="E77" s="3">
        <f t="shared" si="1"/>
        <v>150000</v>
      </c>
      <c r="G77" s="8"/>
    </row>
    <row r="78" spans="1:7" x14ac:dyDescent="0.45">
      <c r="B78" s="10" t="s">
        <v>125</v>
      </c>
      <c r="C78" s="9">
        <v>1</v>
      </c>
      <c r="D78" s="9">
        <v>187000</v>
      </c>
      <c r="E78" s="7">
        <f t="shared" si="1"/>
        <v>187000</v>
      </c>
      <c r="G78" s="8"/>
    </row>
    <row r="79" spans="1:7" x14ac:dyDescent="0.45">
      <c r="B79" s="16"/>
      <c r="C79" s="17"/>
      <c r="D79" s="17"/>
      <c r="E79" s="18"/>
      <c r="G79" s="8"/>
    </row>
    <row r="80" spans="1:7" x14ac:dyDescent="0.45">
      <c r="B80" s="16"/>
      <c r="C80" s="17"/>
      <c r="D80" s="19" t="s">
        <v>138</v>
      </c>
      <c r="E80" s="18">
        <f>SUM(E67:E79)</f>
        <v>1200725</v>
      </c>
      <c r="G80" s="8">
        <f>E80/$E$197</f>
        <v>35.735863095238095</v>
      </c>
    </row>
    <row r="81" spans="1:7" x14ac:dyDescent="0.45">
      <c r="B81" s="16"/>
      <c r="C81" s="17"/>
      <c r="D81" s="17"/>
      <c r="E81" s="18"/>
      <c r="G81" s="8"/>
    </row>
    <row r="82" spans="1:7" x14ac:dyDescent="0.45">
      <c r="B82" s="16"/>
      <c r="C82" s="17"/>
      <c r="D82" s="17"/>
      <c r="E82" s="18"/>
      <c r="G82" s="8"/>
    </row>
    <row r="83" spans="1:7" x14ac:dyDescent="0.45">
      <c r="A83" t="s">
        <v>40</v>
      </c>
      <c r="G83" s="8"/>
    </row>
    <row r="84" spans="1:7" x14ac:dyDescent="0.45">
      <c r="B84" s="1" t="s">
        <v>110</v>
      </c>
      <c r="C84" s="2">
        <v>120</v>
      </c>
      <c r="D84" s="2">
        <v>1000</v>
      </c>
      <c r="E84" s="3">
        <f t="shared" si="1"/>
        <v>120000</v>
      </c>
      <c r="G84" s="8"/>
    </row>
    <row r="85" spans="1:7" x14ac:dyDescent="0.45">
      <c r="B85" s="1" t="s">
        <v>41</v>
      </c>
      <c r="C85" s="9">
        <v>10</v>
      </c>
      <c r="D85" s="2">
        <v>5000</v>
      </c>
      <c r="E85" s="3">
        <f t="shared" si="1"/>
        <v>50000</v>
      </c>
      <c r="G85" s="8"/>
    </row>
    <row r="86" spans="1:7" x14ac:dyDescent="0.45">
      <c r="B86" s="1" t="s">
        <v>42</v>
      </c>
      <c r="C86" s="2">
        <v>40</v>
      </c>
      <c r="D86" s="2">
        <v>2000</v>
      </c>
      <c r="E86" s="3">
        <f t="shared" si="1"/>
        <v>80000</v>
      </c>
      <c r="G86" s="8"/>
    </row>
    <row r="87" spans="1:7" x14ac:dyDescent="0.45">
      <c r="B87" s="1" t="s">
        <v>43</v>
      </c>
      <c r="C87" s="2">
        <v>40</v>
      </c>
      <c r="D87" s="2">
        <v>500</v>
      </c>
      <c r="E87" s="3">
        <f t="shared" si="1"/>
        <v>20000</v>
      </c>
      <c r="G87" s="8"/>
    </row>
    <row r="88" spans="1:7" x14ac:dyDescent="0.45">
      <c r="G88" s="8"/>
    </row>
    <row r="89" spans="1:7" x14ac:dyDescent="0.45">
      <c r="D89" s="12" t="s">
        <v>139</v>
      </c>
      <c r="E89" s="3">
        <f>SUM(E84:E88)</f>
        <v>270000</v>
      </c>
      <c r="G89" s="8">
        <f>E89/$E$197</f>
        <v>8.0357142857142865</v>
      </c>
    </row>
    <row r="90" spans="1:7" x14ac:dyDescent="0.45">
      <c r="G90" s="8"/>
    </row>
    <row r="91" spans="1:7" x14ac:dyDescent="0.45">
      <c r="G91" s="8"/>
    </row>
    <row r="92" spans="1:7" x14ac:dyDescent="0.45">
      <c r="A92" t="s">
        <v>44</v>
      </c>
      <c r="E92" s="3">
        <f t="shared" si="1"/>
        <v>0</v>
      </c>
      <c r="G92" s="8"/>
    </row>
    <row r="93" spans="1:7" x14ac:dyDescent="0.45">
      <c r="B93" s="1" t="s">
        <v>45</v>
      </c>
      <c r="C93" s="2">
        <f>C37*3</f>
        <v>100800</v>
      </c>
      <c r="D93" s="2">
        <v>3</v>
      </c>
      <c r="E93" s="3">
        <f t="shared" si="1"/>
        <v>302400</v>
      </c>
      <c r="G93" s="8"/>
    </row>
    <row r="94" spans="1:7" x14ac:dyDescent="0.45">
      <c r="B94" s="1" t="s">
        <v>74</v>
      </c>
      <c r="C94" s="2">
        <f>C31</f>
        <v>33600</v>
      </c>
      <c r="D94" s="2">
        <v>5</v>
      </c>
      <c r="E94" s="3">
        <f t="shared" si="1"/>
        <v>168000</v>
      </c>
      <c r="G94" s="8"/>
    </row>
    <row r="95" spans="1:7" ht="28.5" x14ac:dyDescent="0.45">
      <c r="B95" s="1" t="s">
        <v>76</v>
      </c>
      <c r="C95" s="2">
        <v>1</v>
      </c>
      <c r="D95" s="2">
        <v>115000</v>
      </c>
      <c r="E95" s="3">
        <f t="shared" si="1"/>
        <v>115000</v>
      </c>
      <c r="G95" s="8"/>
    </row>
    <row r="96" spans="1:7" x14ac:dyDescent="0.45">
      <c r="B96" s="1" t="s">
        <v>125</v>
      </c>
      <c r="C96" s="2">
        <v>1</v>
      </c>
      <c r="D96" s="2">
        <v>115000</v>
      </c>
      <c r="E96" s="3">
        <f t="shared" si="1"/>
        <v>115000</v>
      </c>
      <c r="G96" s="8"/>
    </row>
    <row r="97" spans="1:7" x14ac:dyDescent="0.45">
      <c r="G97" s="8"/>
    </row>
    <row r="98" spans="1:7" x14ac:dyDescent="0.45">
      <c r="D98" s="15" t="s">
        <v>140</v>
      </c>
      <c r="E98" s="3">
        <f>SUM(E93:E97)</f>
        <v>700400</v>
      </c>
      <c r="G98" s="8">
        <f>E98/$E$197</f>
        <v>20.845238095238095</v>
      </c>
    </row>
    <row r="99" spans="1:7" x14ac:dyDescent="0.45">
      <c r="G99" s="8"/>
    </row>
    <row r="100" spans="1:7" x14ac:dyDescent="0.45">
      <c r="E100" s="3">
        <f t="shared" si="1"/>
        <v>0</v>
      </c>
      <c r="G100" s="8"/>
    </row>
    <row r="101" spans="1:7" x14ac:dyDescent="0.45">
      <c r="A101" t="s">
        <v>50</v>
      </c>
      <c r="E101" s="3">
        <f t="shared" si="1"/>
        <v>0</v>
      </c>
      <c r="G101" s="8"/>
    </row>
    <row r="102" spans="1:7" x14ac:dyDescent="0.45">
      <c r="B102" s="1" t="s">
        <v>51</v>
      </c>
      <c r="C102" s="2">
        <v>10</v>
      </c>
      <c r="D102" s="2">
        <v>5000</v>
      </c>
      <c r="E102" s="3">
        <f t="shared" si="1"/>
        <v>50000</v>
      </c>
      <c r="G102" s="8"/>
    </row>
    <row r="103" spans="1:7" x14ac:dyDescent="0.45">
      <c r="B103" s="1" t="s">
        <v>52</v>
      </c>
      <c r="C103" s="2">
        <v>15</v>
      </c>
      <c r="D103" s="2">
        <v>2000</v>
      </c>
      <c r="E103" s="3">
        <f t="shared" si="1"/>
        <v>30000</v>
      </c>
      <c r="G103" s="8"/>
    </row>
    <row r="104" spans="1:7" x14ac:dyDescent="0.45">
      <c r="B104" s="1" t="s">
        <v>53</v>
      </c>
      <c r="C104" s="2">
        <v>1</v>
      </c>
      <c r="D104" s="2">
        <v>20000</v>
      </c>
      <c r="E104" s="3">
        <f t="shared" si="1"/>
        <v>20000</v>
      </c>
      <c r="G104" s="8"/>
    </row>
    <row r="105" spans="1:7" x14ac:dyDescent="0.45">
      <c r="B105" s="1" t="s">
        <v>77</v>
      </c>
      <c r="C105" s="2">
        <v>1</v>
      </c>
      <c r="D105" s="2">
        <v>50000</v>
      </c>
      <c r="E105" s="3">
        <f t="shared" si="1"/>
        <v>50000</v>
      </c>
      <c r="G105" s="8"/>
    </row>
    <row r="106" spans="1:7" x14ac:dyDescent="0.45">
      <c r="B106" s="1" t="s">
        <v>122</v>
      </c>
      <c r="C106" s="2">
        <v>11900</v>
      </c>
      <c r="D106" s="2">
        <v>10</v>
      </c>
      <c r="E106" s="3">
        <f t="shared" si="1"/>
        <v>119000</v>
      </c>
      <c r="G106" s="8"/>
    </row>
    <row r="107" spans="1:7" x14ac:dyDescent="0.45">
      <c r="B107" s="1" t="s">
        <v>80</v>
      </c>
      <c r="C107" s="2">
        <f>C75-C106</f>
        <v>21700</v>
      </c>
      <c r="D107" s="9">
        <v>7</v>
      </c>
      <c r="E107" s="3">
        <f t="shared" si="1"/>
        <v>151900</v>
      </c>
      <c r="G107" s="8"/>
    </row>
    <row r="108" spans="1:7" x14ac:dyDescent="0.45">
      <c r="B108" s="1" t="s">
        <v>115</v>
      </c>
      <c r="C108" s="2">
        <v>1</v>
      </c>
      <c r="D108" s="2">
        <v>25000</v>
      </c>
      <c r="E108" s="3">
        <f t="shared" si="1"/>
        <v>25000</v>
      </c>
      <c r="G108" s="8"/>
    </row>
    <row r="109" spans="1:7" x14ac:dyDescent="0.45">
      <c r="B109" s="1" t="s">
        <v>116</v>
      </c>
      <c r="C109" s="2">
        <v>1</v>
      </c>
      <c r="D109" s="2">
        <v>45000</v>
      </c>
      <c r="E109" s="3">
        <f t="shared" si="1"/>
        <v>45000</v>
      </c>
      <c r="G109" s="8"/>
    </row>
    <row r="110" spans="1:7" x14ac:dyDescent="0.45">
      <c r="B110" s="1" t="s">
        <v>121</v>
      </c>
      <c r="C110" s="2">
        <v>2</v>
      </c>
      <c r="D110" s="2">
        <v>7500</v>
      </c>
      <c r="E110" s="3">
        <f t="shared" si="1"/>
        <v>15000</v>
      </c>
      <c r="G110" s="8"/>
    </row>
    <row r="111" spans="1:7" x14ac:dyDescent="0.45">
      <c r="G111" s="8"/>
    </row>
    <row r="112" spans="1:7" x14ac:dyDescent="0.45">
      <c r="D112" s="15" t="s">
        <v>141</v>
      </c>
      <c r="E112" s="3">
        <f>SUM(E102:E111)</f>
        <v>505900</v>
      </c>
      <c r="G112" s="8">
        <f>E112/$E$197</f>
        <v>15.056547619047619</v>
      </c>
    </row>
    <row r="113" spans="1:7" x14ac:dyDescent="0.45">
      <c r="G113" s="8"/>
    </row>
    <row r="114" spans="1:7" x14ac:dyDescent="0.45">
      <c r="G114" s="8"/>
    </row>
    <row r="115" spans="1:7" x14ac:dyDescent="0.45">
      <c r="E115" s="3">
        <f t="shared" si="1"/>
        <v>0</v>
      </c>
      <c r="G115" s="8"/>
    </row>
    <row r="116" spans="1:7" x14ac:dyDescent="0.45">
      <c r="A116" t="s">
        <v>54</v>
      </c>
      <c r="B116" s="1" t="s">
        <v>104</v>
      </c>
      <c r="C116" s="2">
        <v>1</v>
      </c>
      <c r="D116" s="2">
        <v>5000</v>
      </c>
      <c r="E116" s="3">
        <f t="shared" si="1"/>
        <v>5000</v>
      </c>
      <c r="G116" s="8">
        <f>E116/$E$197</f>
        <v>0.14880952380952381</v>
      </c>
    </row>
    <row r="117" spans="1:7" x14ac:dyDescent="0.45">
      <c r="E117" s="3">
        <f t="shared" si="1"/>
        <v>0</v>
      </c>
      <c r="G117" s="8"/>
    </row>
    <row r="118" spans="1:7" x14ac:dyDescent="0.45">
      <c r="A118" t="s">
        <v>55</v>
      </c>
      <c r="E118" s="3">
        <f t="shared" si="1"/>
        <v>0</v>
      </c>
      <c r="G118" s="8"/>
    </row>
    <row r="119" spans="1:7" x14ac:dyDescent="0.45">
      <c r="B119" s="1" t="s">
        <v>103</v>
      </c>
      <c r="C119" s="2">
        <v>1</v>
      </c>
      <c r="D119" s="2">
        <v>77000</v>
      </c>
      <c r="E119" s="3">
        <f t="shared" si="1"/>
        <v>77000</v>
      </c>
      <c r="G119" s="8"/>
    </row>
    <row r="120" spans="1:7" x14ac:dyDescent="0.45">
      <c r="B120" s="1" t="s">
        <v>56</v>
      </c>
      <c r="C120" s="2">
        <v>120</v>
      </c>
      <c r="D120" s="2">
        <v>500</v>
      </c>
      <c r="E120" s="3">
        <f t="shared" si="1"/>
        <v>60000</v>
      </c>
      <c r="G120" s="8"/>
    </row>
    <row r="121" spans="1:7" x14ac:dyDescent="0.45">
      <c r="B121" s="1" t="s">
        <v>53</v>
      </c>
      <c r="C121" s="2">
        <v>1</v>
      </c>
      <c r="D121" s="2">
        <v>25000</v>
      </c>
      <c r="E121" s="3">
        <f t="shared" si="1"/>
        <v>25000</v>
      </c>
      <c r="G121" s="8"/>
    </row>
    <row r="122" spans="1:7" ht="28.5" x14ac:dyDescent="0.45">
      <c r="B122" s="4" t="s">
        <v>107</v>
      </c>
      <c r="C122" s="2">
        <v>1</v>
      </c>
      <c r="D122" s="2">
        <v>50000</v>
      </c>
      <c r="E122" s="3">
        <f>C122*D122</f>
        <v>50000</v>
      </c>
      <c r="G122" s="8"/>
    </row>
    <row r="123" spans="1:7" x14ac:dyDescent="0.45">
      <c r="B123" s="4"/>
      <c r="G123" s="8"/>
    </row>
    <row r="124" spans="1:7" x14ac:dyDescent="0.45">
      <c r="B124" s="4"/>
      <c r="D124" s="12" t="s">
        <v>142</v>
      </c>
      <c r="E124" s="3">
        <f>SUM(E119:E123)</f>
        <v>212000</v>
      </c>
      <c r="G124" s="8">
        <f>E124/$E$197</f>
        <v>6.3095238095238093</v>
      </c>
    </row>
    <row r="125" spans="1:7" x14ac:dyDescent="0.45">
      <c r="G125" s="8"/>
    </row>
    <row r="126" spans="1:7" x14ac:dyDescent="0.45">
      <c r="G126" s="8"/>
    </row>
    <row r="127" spans="1:7" ht="42" customHeight="1" x14ac:dyDescent="0.45">
      <c r="A127" t="s">
        <v>57</v>
      </c>
      <c r="B127" s="1" t="s">
        <v>108</v>
      </c>
      <c r="C127" s="2">
        <f>C31</f>
        <v>33600</v>
      </c>
      <c r="D127" s="2">
        <v>7</v>
      </c>
      <c r="E127" s="3">
        <f t="shared" ref="E127:E165" si="2">C127*D127</f>
        <v>235200</v>
      </c>
      <c r="G127" s="8"/>
    </row>
    <row r="128" spans="1:7" ht="30.75" customHeight="1" x14ac:dyDescent="0.45">
      <c r="B128" s="4" t="s">
        <v>113</v>
      </c>
      <c r="C128" s="2">
        <v>1</v>
      </c>
      <c r="D128" s="2">
        <v>100000</v>
      </c>
      <c r="E128" s="3">
        <v>100000</v>
      </c>
      <c r="G128" s="8"/>
    </row>
    <row r="129" spans="1:7" ht="18" customHeight="1" x14ac:dyDescent="0.45">
      <c r="B129" s="4"/>
      <c r="G129" s="8"/>
    </row>
    <row r="130" spans="1:7" ht="18" customHeight="1" x14ac:dyDescent="0.45">
      <c r="B130" s="4"/>
      <c r="D130" s="15" t="s">
        <v>143</v>
      </c>
      <c r="E130" s="3">
        <f>SUM(E127:E129)</f>
        <v>335200</v>
      </c>
      <c r="G130" s="8">
        <f>E130/$E$197</f>
        <v>9.9761904761904763</v>
      </c>
    </row>
    <row r="131" spans="1:7" ht="15" customHeight="1" x14ac:dyDescent="0.45">
      <c r="G131" s="8"/>
    </row>
    <row r="132" spans="1:7" x14ac:dyDescent="0.45">
      <c r="E132" s="3">
        <f t="shared" si="2"/>
        <v>0</v>
      </c>
      <c r="G132" s="8"/>
    </row>
    <row r="133" spans="1:7" x14ac:dyDescent="0.45">
      <c r="A133" t="s">
        <v>58</v>
      </c>
      <c r="B133" s="1" t="s">
        <v>26</v>
      </c>
      <c r="E133" s="3">
        <f t="shared" si="2"/>
        <v>0</v>
      </c>
      <c r="G133" s="8"/>
    </row>
    <row r="134" spans="1:7" x14ac:dyDescent="0.45">
      <c r="E134" s="3">
        <f t="shared" si="2"/>
        <v>0</v>
      </c>
      <c r="G134" s="8"/>
    </row>
    <row r="135" spans="1:7" ht="28.5" x14ac:dyDescent="0.45">
      <c r="A135" t="s">
        <v>59</v>
      </c>
      <c r="B135" s="1" t="s">
        <v>81</v>
      </c>
      <c r="C135" s="2">
        <v>15</v>
      </c>
      <c r="D135" s="2">
        <v>1000</v>
      </c>
      <c r="E135" s="3">
        <f t="shared" si="2"/>
        <v>15000</v>
      </c>
      <c r="G135" s="8"/>
    </row>
    <row r="136" spans="1:7" x14ac:dyDescent="0.45">
      <c r="B136" s="1" t="s">
        <v>98</v>
      </c>
      <c r="C136" s="2">
        <v>1</v>
      </c>
      <c r="D136" s="2">
        <v>15000</v>
      </c>
      <c r="E136" s="3">
        <f t="shared" ref="E136" si="3">C136*D136</f>
        <v>15000</v>
      </c>
      <c r="G136" s="8"/>
    </row>
    <row r="137" spans="1:7" x14ac:dyDescent="0.45">
      <c r="B137" s="1" t="s">
        <v>60</v>
      </c>
      <c r="C137" s="2">
        <v>15</v>
      </c>
      <c r="D137" s="2">
        <v>1000</v>
      </c>
      <c r="E137" s="3">
        <f t="shared" si="2"/>
        <v>15000</v>
      </c>
      <c r="G137" s="8"/>
    </row>
    <row r="138" spans="1:7" ht="28.5" x14ac:dyDescent="0.45">
      <c r="B138" s="1" t="s">
        <v>99</v>
      </c>
      <c r="C138" s="2">
        <v>1</v>
      </c>
      <c r="D138" s="2">
        <v>5000</v>
      </c>
      <c r="E138" s="3">
        <f t="shared" ref="E138" si="4">C138*D138</f>
        <v>5000</v>
      </c>
      <c r="G138" s="8"/>
    </row>
    <row r="139" spans="1:7" x14ac:dyDescent="0.45">
      <c r="B139" s="1" t="s">
        <v>61</v>
      </c>
      <c r="C139" s="2">
        <v>1</v>
      </c>
      <c r="D139" s="2">
        <v>20000</v>
      </c>
      <c r="E139" s="3">
        <f t="shared" si="2"/>
        <v>20000</v>
      </c>
      <c r="G139" s="8"/>
    </row>
    <row r="140" spans="1:7" x14ac:dyDescent="0.45">
      <c r="B140" s="1" t="s">
        <v>106</v>
      </c>
      <c r="C140" s="2">
        <v>1</v>
      </c>
      <c r="D140" s="2">
        <v>200000</v>
      </c>
      <c r="E140" s="3">
        <f>C140*D140</f>
        <v>200000</v>
      </c>
      <c r="G140" s="8"/>
    </row>
    <row r="141" spans="1:7" x14ac:dyDescent="0.45">
      <c r="G141" s="8"/>
    </row>
    <row r="142" spans="1:7" x14ac:dyDescent="0.45">
      <c r="D142" s="15" t="s">
        <v>144</v>
      </c>
      <c r="E142" s="3">
        <f>SUM(E135:E141)</f>
        <v>270000</v>
      </c>
      <c r="G142" s="8">
        <f>E142/$E$197</f>
        <v>8.0357142857142865</v>
      </c>
    </row>
    <row r="143" spans="1:7" x14ac:dyDescent="0.45">
      <c r="G143" s="8"/>
    </row>
    <row r="144" spans="1:7" x14ac:dyDescent="0.45">
      <c r="G144" s="8"/>
    </row>
    <row r="145" spans="1:7" x14ac:dyDescent="0.45">
      <c r="A145" t="s">
        <v>84</v>
      </c>
      <c r="B145" s="1" t="s">
        <v>85</v>
      </c>
      <c r="C145" s="2">
        <v>1</v>
      </c>
      <c r="D145" s="2">
        <v>20000</v>
      </c>
      <c r="E145" s="3">
        <f t="shared" ref="E145:E155" si="5">C145*D145</f>
        <v>20000</v>
      </c>
      <c r="G145" s="8"/>
    </row>
    <row r="146" spans="1:7" ht="28.5" x14ac:dyDescent="0.45">
      <c r="B146" s="1" t="s">
        <v>86</v>
      </c>
      <c r="C146" s="2">
        <v>1</v>
      </c>
      <c r="D146" s="2">
        <v>40000</v>
      </c>
      <c r="E146" s="3">
        <f t="shared" si="5"/>
        <v>40000</v>
      </c>
      <c r="G146" s="8"/>
    </row>
    <row r="147" spans="1:7" ht="29.25" customHeight="1" x14ac:dyDescent="0.45">
      <c r="B147" s="1" t="s">
        <v>87</v>
      </c>
      <c r="C147" s="2">
        <v>38</v>
      </c>
      <c r="D147" s="2">
        <v>767</v>
      </c>
      <c r="E147" s="3">
        <f t="shared" si="5"/>
        <v>29146</v>
      </c>
      <c r="G147" s="8"/>
    </row>
    <row r="148" spans="1:7" ht="21.75" customHeight="1" x14ac:dyDescent="0.45">
      <c r="B148" s="1" t="s">
        <v>92</v>
      </c>
      <c r="C148" s="2">
        <f>C127</f>
        <v>33600</v>
      </c>
      <c r="D148" s="2">
        <v>1.25</v>
      </c>
      <c r="E148" s="3">
        <f t="shared" si="5"/>
        <v>42000</v>
      </c>
      <c r="G148" s="8"/>
    </row>
    <row r="149" spans="1:7" ht="21.75" customHeight="1" x14ac:dyDescent="0.45">
      <c r="B149" s="1" t="s">
        <v>124</v>
      </c>
      <c r="C149" s="2">
        <v>1</v>
      </c>
      <c r="D149" s="2">
        <v>90000</v>
      </c>
      <c r="E149" s="3">
        <f t="shared" ref="E149" si="6">C149*D149</f>
        <v>90000</v>
      </c>
      <c r="G149" s="8"/>
    </row>
    <row r="150" spans="1:7" ht="21.75" customHeight="1" x14ac:dyDescent="0.45">
      <c r="B150" s="1" t="s">
        <v>90</v>
      </c>
      <c r="C150" s="2">
        <v>1</v>
      </c>
      <c r="D150" s="2">
        <v>50000</v>
      </c>
      <c r="E150" s="3">
        <f t="shared" si="5"/>
        <v>50000</v>
      </c>
      <c r="G150" s="8"/>
    </row>
    <row r="151" spans="1:7" ht="28.5" x14ac:dyDescent="0.45">
      <c r="B151" s="1" t="s">
        <v>88</v>
      </c>
      <c r="C151" s="2">
        <v>30</v>
      </c>
      <c r="D151" s="2">
        <v>4500</v>
      </c>
      <c r="E151" s="3">
        <f t="shared" si="5"/>
        <v>135000</v>
      </c>
      <c r="G151" s="8"/>
    </row>
    <row r="152" spans="1:7" x14ac:dyDescent="0.45">
      <c r="B152" s="1" t="s">
        <v>91</v>
      </c>
      <c r="C152" s="2">
        <v>20</v>
      </c>
      <c r="D152" s="2">
        <v>2500</v>
      </c>
      <c r="E152" s="3">
        <f t="shared" si="5"/>
        <v>50000</v>
      </c>
      <c r="G152" s="8"/>
    </row>
    <row r="153" spans="1:7" x14ac:dyDescent="0.45">
      <c r="B153" s="1" t="s">
        <v>89</v>
      </c>
      <c r="C153" s="2">
        <v>2</v>
      </c>
      <c r="D153" s="2">
        <v>25000</v>
      </c>
      <c r="E153" s="3">
        <f t="shared" si="5"/>
        <v>50000</v>
      </c>
      <c r="G153" s="8"/>
    </row>
    <row r="154" spans="1:7" x14ac:dyDescent="0.45">
      <c r="B154" s="1" t="s">
        <v>109</v>
      </c>
      <c r="C154" s="2">
        <v>1</v>
      </c>
      <c r="D154" s="2">
        <v>100000</v>
      </c>
      <c r="E154" s="3">
        <f t="shared" si="5"/>
        <v>100000</v>
      </c>
      <c r="G154" s="8"/>
    </row>
    <row r="155" spans="1:7" x14ac:dyDescent="0.45">
      <c r="B155" s="10" t="s">
        <v>125</v>
      </c>
      <c r="C155" s="9">
        <v>1</v>
      </c>
      <c r="D155" s="9">
        <v>60000</v>
      </c>
      <c r="E155" s="7">
        <f t="shared" si="5"/>
        <v>60000</v>
      </c>
      <c r="G155" s="8"/>
    </row>
    <row r="156" spans="1:7" x14ac:dyDescent="0.45">
      <c r="B156" s="16"/>
      <c r="C156" s="17"/>
      <c r="D156" s="17"/>
      <c r="E156" s="18"/>
      <c r="G156" s="8"/>
    </row>
    <row r="157" spans="1:7" x14ac:dyDescent="0.45">
      <c r="B157" s="16"/>
      <c r="C157" s="17"/>
      <c r="D157" s="19" t="s">
        <v>145</v>
      </c>
      <c r="E157" s="18">
        <f>SUM(E145:E156)</f>
        <v>666146</v>
      </c>
      <c r="G157" s="8">
        <f>E157/$E$197</f>
        <v>19.82577380952381</v>
      </c>
    </row>
    <row r="158" spans="1:7" x14ac:dyDescent="0.45">
      <c r="B158" s="16"/>
      <c r="C158" s="17"/>
      <c r="D158" s="17"/>
      <c r="E158" s="18"/>
      <c r="G158" s="8"/>
    </row>
    <row r="159" spans="1:7" x14ac:dyDescent="0.45">
      <c r="G159" s="8"/>
    </row>
    <row r="160" spans="1:7" x14ac:dyDescent="0.45">
      <c r="E160" s="3">
        <f t="shared" si="2"/>
        <v>0</v>
      </c>
      <c r="G160" s="8"/>
    </row>
    <row r="161" spans="1:7" x14ac:dyDescent="0.45">
      <c r="A161" t="s">
        <v>62</v>
      </c>
      <c r="B161" s="1" t="s">
        <v>63</v>
      </c>
      <c r="C161" s="2">
        <f>C148</f>
        <v>33600</v>
      </c>
      <c r="D161" s="2">
        <v>10</v>
      </c>
      <c r="E161" s="3">
        <f t="shared" si="2"/>
        <v>336000</v>
      </c>
      <c r="G161" s="8"/>
    </row>
    <row r="162" spans="1:7" x14ac:dyDescent="0.45">
      <c r="B162" s="1" t="s">
        <v>64</v>
      </c>
      <c r="C162" s="2">
        <f>C161</f>
        <v>33600</v>
      </c>
      <c r="D162" s="2">
        <v>10</v>
      </c>
      <c r="E162" s="3">
        <f t="shared" si="2"/>
        <v>336000</v>
      </c>
      <c r="G162" s="8"/>
    </row>
    <row r="163" spans="1:7" x14ac:dyDescent="0.45">
      <c r="B163" s="1" t="s">
        <v>65</v>
      </c>
      <c r="C163" s="2">
        <f>C162</f>
        <v>33600</v>
      </c>
      <c r="D163" s="2">
        <v>3.6</v>
      </c>
      <c r="E163" s="3">
        <f t="shared" si="2"/>
        <v>120960</v>
      </c>
      <c r="G163" s="8"/>
    </row>
    <row r="164" spans="1:7" x14ac:dyDescent="0.45">
      <c r="B164" s="1" t="s">
        <v>97</v>
      </c>
      <c r="C164" s="2">
        <v>75000</v>
      </c>
      <c r="D164" s="2">
        <v>1</v>
      </c>
      <c r="E164" s="3">
        <f t="shared" si="2"/>
        <v>75000</v>
      </c>
      <c r="G164" s="8"/>
    </row>
    <row r="165" spans="1:7" x14ac:dyDescent="0.45">
      <c r="B165" s="1" t="s">
        <v>66</v>
      </c>
      <c r="C165" s="2">
        <v>1</v>
      </c>
      <c r="D165" s="2">
        <v>25000</v>
      </c>
      <c r="E165" s="3">
        <f t="shared" si="2"/>
        <v>25000</v>
      </c>
      <c r="G165" s="8"/>
    </row>
    <row r="166" spans="1:7" x14ac:dyDescent="0.45">
      <c r="B166" s="4" t="s">
        <v>114</v>
      </c>
      <c r="C166" s="2">
        <v>1</v>
      </c>
      <c r="D166" s="2">
        <v>75000</v>
      </c>
      <c r="E166" s="3">
        <f>C166*D166</f>
        <v>75000</v>
      </c>
      <c r="G166" s="8"/>
    </row>
    <row r="167" spans="1:7" x14ac:dyDescent="0.45">
      <c r="B167" s="4"/>
      <c r="G167" s="8"/>
    </row>
    <row r="168" spans="1:7" x14ac:dyDescent="0.45">
      <c r="B168" s="4"/>
      <c r="D168" s="15" t="s">
        <v>146</v>
      </c>
      <c r="E168" s="3">
        <f>SUM(E161:E167)</f>
        <v>967960</v>
      </c>
      <c r="G168" s="8">
        <f>E168/$E$197</f>
        <v>28.808333333333334</v>
      </c>
    </row>
    <row r="169" spans="1:7" x14ac:dyDescent="0.45">
      <c r="G169" s="8"/>
    </row>
    <row r="170" spans="1:7" x14ac:dyDescent="0.45">
      <c r="G170" s="8"/>
    </row>
    <row r="171" spans="1:7" ht="47.25" customHeight="1" x14ac:dyDescent="0.45">
      <c r="B171" s="14" t="s">
        <v>128</v>
      </c>
      <c r="C171" s="14"/>
      <c r="E171" s="7">
        <f>E17+E33+E43+E63+E80+E89+E98+E112+E124+E130+E142+E157+E168+E116</f>
        <v>10476878.669753086</v>
      </c>
      <c r="F171" s="3"/>
      <c r="G171" s="8"/>
    </row>
    <row r="172" spans="1:7" x14ac:dyDescent="0.45">
      <c r="B172" s="4"/>
      <c r="C172" s="5"/>
      <c r="F172" s="3"/>
      <c r="G172" s="8"/>
    </row>
    <row r="173" spans="1:7" x14ac:dyDescent="0.45">
      <c r="A173" t="s">
        <v>67</v>
      </c>
      <c r="G173" s="8"/>
    </row>
    <row r="174" spans="1:7" x14ac:dyDescent="0.45">
      <c r="B174" s="1" t="s">
        <v>68</v>
      </c>
      <c r="C174" s="2">
        <v>1</v>
      </c>
      <c r="D174" s="2">
        <v>100000</v>
      </c>
      <c r="E174" s="3">
        <f>D174*C174</f>
        <v>100000</v>
      </c>
      <c r="G174" s="8"/>
    </row>
    <row r="175" spans="1:7" x14ac:dyDescent="0.45">
      <c r="B175" s="4" t="s">
        <v>83</v>
      </c>
      <c r="C175" s="2">
        <v>1</v>
      </c>
      <c r="D175" s="2">
        <v>100000</v>
      </c>
      <c r="E175" s="3">
        <f t="shared" ref="E175" si="7">D175*C175</f>
        <v>100000</v>
      </c>
      <c r="G175" s="8"/>
    </row>
    <row r="176" spans="1:7" x14ac:dyDescent="0.45">
      <c r="B176" s="1" t="s">
        <v>69</v>
      </c>
      <c r="C176" s="2">
        <v>1</v>
      </c>
      <c r="D176" s="2">
        <v>100000</v>
      </c>
      <c r="E176" s="3">
        <f t="shared" ref="E176:E180" si="8">D176*C176</f>
        <v>100000</v>
      </c>
      <c r="G176" s="8"/>
    </row>
    <row r="177" spans="1:7" x14ac:dyDescent="0.45">
      <c r="B177" s="1" t="s">
        <v>82</v>
      </c>
      <c r="C177" s="2">
        <v>1</v>
      </c>
      <c r="D177" s="2">
        <v>20000</v>
      </c>
      <c r="E177" s="3">
        <f t="shared" si="8"/>
        <v>20000</v>
      </c>
      <c r="G177" s="8"/>
    </row>
    <row r="178" spans="1:7" ht="28.5" x14ac:dyDescent="0.45">
      <c r="B178" s="1" t="s">
        <v>127</v>
      </c>
      <c r="C178" s="2">
        <v>1</v>
      </c>
      <c r="D178" s="2">
        <v>650000</v>
      </c>
      <c r="E178" s="3">
        <f t="shared" si="8"/>
        <v>650000</v>
      </c>
      <c r="G178" s="8"/>
    </row>
    <row r="179" spans="1:7" x14ac:dyDescent="0.45">
      <c r="B179" s="1" t="s">
        <v>70</v>
      </c>
      <c r="C179" s="2">
        <v>1</v>
      </c>
      <c r="D179" s="2">
        <v>100000</v>
      </c>
      <c r="E179" s="3">
        <f t="shared" si="8"/>
        <v>100000</v>
      </c>
      <c r="G179" s="8"/>
    </row>
    <row r="180" spans="1:7" x14ac:dyDescent="0.45">
      <c r="B180" s="1" t="s">
        <v>71</v>
      </c>
      <c r="C180" s="2">
        <v>1</v>
      </c>
      <c r="D180" s="2">
        <v>30000</v>
      </c>
      <c r="E180" s="3">
        <f t="shared" si="8"/>
        <v>30000</v>
      </c>
      <c r="G180" s="8"/>
    </row>
    <row r="181" spans="1:7" x14ac:dyDescent="0.45">
      <c r="B181" s="4" t="s">
        <v>126</v>
      </c>
      <c r="C181" s="2">
        <v>1</v>
      </c>
      <c r="D181" s="2">
        <v>100000</v>
      </c>
      <c r="E181" s="3">
        <f>C181*D181</f>
        <v>100000</v>
      </c>
      <c r="G181" s="8"/>
    </row>
    <row r="182" spans="1:7" x14ac:dyDescent="0.45">
      <c r="G182" s="8"/>
    </row>
    <row r="183" spans="1:7" ht="16.5" customHeight="1" x14ac:dyDescent="0.45">
      <c r="B183" s="4" t="s">
        <v>119</v>
      </c>
      <c r="C183" s="2">
        <v>1</v>
      </c>
      <c r="D183" s="3">
        <f>E171*0.05</f>
        <v>523843.93348765431</v>
      </c>
      <c r="E183" s="3">
        <f>D183</f>
        <v>523843.93348765431</v>
      </c>
      <c r="G183" s="8"/>
    </row>
    <row r="184" spans="1:7" ht="16.5" customHeight="1" x14ac:dyDescent="0.45">
      <c r="B184" s="4" t="s">
        <v>131</v>
      </c>
      <c r="E184" s="3">
        <f>0.05*E193</f>
        <v>0</v>
      </c>
      <c r="G184" s="8"/>
    </row>
    <row r="185" spans="1:7" ht="16.5" customHeight="1" x14ac:dyDescent="0.45">
      <c r="G185" s="8"/>
    </row>
    <row r="186" spans="1:7" ht="16.5" customHeight="1" x14ac:dyDescent="0.45">
      <c r="D186" s="2" t="s">
        <v>151</v>
      </c>
      <c r="E186" s="3">
        <f>SUM(E174:E185)</f>
        <v>1723843.9334876542</v>
      </c>
      <c r="G186" s="8">
        <f>E186/$E$197</f>
        <v>51.304878972846851</v>
      </c>
    </row>
    <row r="187" spans="1:7" x14ac:dyDescent="0.45">
      <c r="G187" s="8"/>
    </row>
    <row r="188" spans="1:7" x14ac:dyDescent="0.45">
      <c r="G188" s="8"/>
    </row>
    <row r="189" spans="1:7" x14ac:dyDescent="0.45">
      <c r="A189" t="s">
        <v>72</v>
      </c>
      <c r="B189" s="1" t="s">
        <v>73</v>
      </c>
      <c r="C189" s="2">
        <v>1</v>
      </c>
      <c r="D189" s="3">
        <f>0.05*(E171)</f>
        <v>523843.93348765431</v>
      </c>
      <c r="E189" s="7">
        <f>D189</f>
        <v>523843.93348765431</v>
      </c>
      <c r="G189" s="8">
        <f>E189/$E$197</f>
        <v>15.590593258561141</v>
      </c>
    </row>
    <row r="190" spans="1:7" x14ac:dyDescent="0.45">
      <c r="G190" s="8"/>
    </row>
    <row r="191" spans="1:7" x14ac:dyDescent="0.45">
      <c r="A191" t="s">
        <v>78</v>
      </c>
      <c r="B191" s="10" t="s">
        <v>79</v>
      </c>
      <c r="C191" s="9">
        <v>1</v>
      </c>
      <c r="D191" s="7">
        <f>E171*0.1</f>
        <v>1047687.8669753086</v>
      </c>
      <c r="E191" s="7">
        <f>C191*D191</f>
        <v>1047687.8669753086</v>
      </c>
      <c r="G191" s="8">
        <f>E191/$E$197</f>
        <v>31.181186517122281</v>
      </c>
    </row>
    <row r="192" spans="1:7" x14ac:dyDescent="0.45">
      <c r="E192" s="3">
        <f>C192*D192</f>
        <v>0</v>
      </c>
      <c r="G192" s="8"/>
    </row>
    <row r="193" spans="2:9" x14ac:dyDescent="0.45">
      <c r="B193" s="4"/>
      <c r="G193" s="8"/>
    </row>
    <row r="194" spans="2:9" x14ac:dyDescent="0.45">
      <c r="G194" s="8"/>
    </row>
    <row r="195" spans="2:9" x14ac:dyDescent="0.45">
      <c r="E195" s="6">
        <f>E171+E186+E189+E193+E191</f>
        <v>13772254.403703703</v>
      </c>
      <c r="F195" s="8"/>
      <c r="G195" s="8">
        <f>E195/$E$197</f>
        <v>409.88852391975303</v>
      </c>
    </row>
    <row r="197" spans="2:9" x14ac:dyDescent="0.45">
      <c r="D197" s="2" t="s">
        <v>147</v>
      </c>
      <c r="E197" s="3">
        <v>33600</v>
      </c>
    </row>
    <row r="199" spans="2:9" x14ac:dyDescent="0.45">
      <c r="D199" s="2" t="s">
        <v>148</v>
      </c>
      <c r="E199" s="3">
        <f>E195/E197</f>
        <v>409.88852391975303</v>
      </c>
      <c r="I199" s="11"/>
    </row>
  </sheetData>
  <mergeCells count="3">
    <mergeCell ref="C3:E3"/>
    <mergeCell ref="A1:F1"/>
    <mergeCell ref="B171:C171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AA07-D525-4943-9871-9EA569B4D29B}">
  <dimension ref="B3:F13"/>
  <sheetViews>
    <sheetView topLeftCell="A5" workbookViewId="0">
      <selection activeCell="G5" sqref="G5"/>
    </sheetView>
  </sheetViews>
  <sheetFormatPr defaultRowHeight="14.25" x14ac:dyDescent="0.45"/>
  <cols>
    <col min="2" max="2" width="13.06640625" customWidth="1"/>
    <col min="3" max="3" width="28" customWidth="1"/>
    <col min="6" max="6" width="22.796875" customWidth="1"/>
  </cols>
  <sheetData>
    <row r="3" spans="2:6" ht="57" x14ac:dyDescent="0.45">
      <c r="B3" s="5" t="s">
        <v>129</v>
      </c>
      <c r="C3" s="4" t="s">
        <v>105</v>
      </c>
      <c r="D3" s="2">
        <v>1</v>
      </c>
      <c r="E3" s="2">
        <v>700000</v>
      </c>
      <c r="F3" s="3">
        <f>D3*E3</f>
        <v>700000</v>
      </c>
    </row>
    <row r="4" spans="2:6" ht="42.75" x14ac:dyDescent="0.45">
      <c r="C4" s="4" t="s">
        <v>83</v>
      </c>
      <c r="D4" s="2">
        <v>1</v>
      </c>
      <c r="E4" s="2">
        <v>100000</v>
      </c>
      <c r="F4" s="3">
        <f t="shared" ref="F4" si="0">E4*D4</f>
        <v>100000</v>
      </c>
    </row>
    <row r="5" spans="2:6" ht="99.75" x14ac:dyDescent="0.45">
      <c r="C5" s="4" t="s">
        <v>107</v>
      </c>
      <c r="D5" s="2">
        <v>1</v>
      </c>
      <c r="E5" s="2">
        <v>50000</v>
      </c>
      <c r="F5" s="3">
        <f t="shared" ref="F5:F11" si="1">D5*E5</f>
        <v>50000</v>
      </c>
    </row>
    <row r="6" spans="2:6" ht="42.75" x14ac:dyDescent="0.45">
      <c r="C6" s="4" t="s">
        <v>123</v>
      </c>
      <c r="D6" s="2">
        <v>1</v>
      </c>
      <c r="E6" s="2">
        <v>75000</v>
      </c>
      <c r="F6" s="3">
        <f t="shared" si="1"/>
        <v>75000</v>
      </c>
    </row>
    <row r="7" spans="2:6" ht="128.25" x14ac:dyDescent="0.45">
      <c r="C7" s="4" t="s">
        <v>111</v>
      </c>
      <c r="D7" s="2">
        <v>1</v>
      </c>
      <c r="E7" s="2">
        <v>50000</v>
      </c>
      <c r="F7" s="3">
        <f t="shared" si="1"/>
        <v>50000</v>
      </c>
    </row>
    <row r="8" spans="2:6" ht="71.25" x14ac:dyDescent="0.45">
      <c r="C8" s="4" t="s">
        <v>112</v>
      </c>
      <c r="D8" s="2">
        <v>1</v>
      </c>
      <c r="E8" s="2">
        <v>100000</v>
      </c>
      <c r="F8" s="3">
        <v>100000</v>
      </c>
    </row>
    <row r="9" spans="2:6" ht="57" x14ac:dyDescent="0.45">
      <c r="C9" s="4" t="s">
        <v>113</v>
      </c>
      <c r="D9" s="2">
        <v>1</v>
      </c>
      <c r="E9" s="2">
        <v>100000</v>
      </c>
      <c r="F9" s="3">
        <v>100000</v>
      </c>
    </row>
    <row r="10" spans="2:6" ht="57" x14ac:dyDescent="0.45">
      <c r="C10" s="4" t="s">
        <v>114</v>
      </c>
      <c r="D10" s="2">
        <v>1</v>
      </c>
      <c r="E10" s="2">
        <v>75000</v>
      </c>
      <c r="F10" s="3">
        <f t="shared" si="1"/>
        <v>75000</v>
      </c>
    </row>
    <row r="11" spans="2:6" ht="28.5" x14ac:dyDescent="0.45">
      <c r="C11" s="4" t="s">
        <v>126</v>
      </c>
      <c r="D11" s="2">
        <v>1</v>
      </c>
      <c r="E11" s="2">
        <v>100000</v>
      </c>
      <c r="F11" s="3">
        <f t="shared" si="1"/>
        <v>100000</v>
      </c>
    </row>
    <row r="12" spans="2:6" x14ac:dyDescent="0.45">
      <c r="C12" s="4"/>
      <c r="D12" s="2"/>
      <c r="E12" s="2"/>
      <c r="F12" s="3"/>
    </row>
    <row r="13" spans="2:6" x14ac:dyDescent="0.45">
      <c r="C13" s="4"/>
      <c r="D13" s="2"/>
      <c r="E13" s="2" t="s">
        <v>118</v>
      </c>
      <c r="F13" s="3">
        <f>SUM(F3:F12)</f>
        <v>1350000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Alternates-Allowances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Obadiah Dart</dc:creator>
  <cp:lastModifiedBy>Obadiah Dart</cp:lastModifiedBy>
  <cp:lastPrinted>2025-11-06T13:34:35Z</cp:lastPrinted>
  <dcterms:created xsi:type="dcterms:W3CDTF">2025-10-13T00:48:41Z</dcterms:created>
  <dcterms:modified xsi:type="dcterms:W3CDTF">2026-01-28T03:27:44Z</dcterms:modified>
</cp:coreProperties>
</file>